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24226"/>
  <xr:revisionPtr revIDLastSave="0" documentId="13_ncr:1_{F18BA30C-D43C-486B-81BE-8E31EFE5D4D2}" xr6:coauthVersionLast="47" xr6:coauthVersionMax="47" xr10:uidLastSave="{00000000-0000-0000-0000-000000000000}"/>
  <bookViews>
    <workbookView xWindow="-24200" yWindow="-6160" windowWidth="22390" windowHeight="16590" tabRatio="754" xr2:uid="{00000000-000D-0000-FFFF-FFFF00000000}"/>
  </bookViews>
  <sheets>
    <sheet name="Sheet Reference" sheetId="6" r:id="rId1"/>
    <sheet name="24.65 Mainline CUT FILL S&amp;M" sheetId="3" r:id="rId2"/>
    <sheet name="25.87 Mainline CUT FILL S&amp;M" sheetId="9" r:id="rId3"/>
    <sheet name="Seeding calcs" sheetId="4" r:id="rId4"/>
    <sheet name="temp pvmnt" sheetId="8" r:id="rId5"/>
  </sheets>
  <definedNames>
    <definedName name="_xlnm.Print_Area" localSheetId="1">'24.65 Mainline CUT FILL S&amp;M'!$B$3:$T$19</definedName>
    <definedName name="_xlnm.Print_Area" localSheetId="2">'25.87 Mainline CUT FILL S&amp;M'!$B$3:$J$20</definedName>
    <definedName name="_xlnm.Print_Area" localSheetId="0">'Sheet Reference'!#REF!</definedName>
    <definedName name="_xlnm.Print_Area" localSheetId="4">'temp pvmnt'!$B$3:$K$21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4" l="1"/>
  <c r="I22" i="6"/>
  <c r="I8" i="6"/>
  <c r="I9" i="6"/>
  <c r="I10" i="6"/>
  <c r="I11" i="6"/>
  <c r="I7" i="6"/>
  <c r="N10" i="3"/>
  <c r="N8" i="3"/>
  <c r="N9" i="3"/>
  <c r="N11" i="3"/>
  <c r="N7" i="3" l="1"/>
  <c r="R7" i="3" l="1"/>
  <c r="M7" i="6" s="1"/>
  <c r="K7" i="3"/>
  <c r="F15" i="6"/>
  <c r="G15" i="6"/>
  <c r="M15" i="6"/>
  <c r="F16" i="6"/>
  <c r="G16" i="6"/>
  <c r="M16" i="6"/>
  <c r="F17" i="6"/>
  <c r="G17" i="6"/>
  <c r="M17" i="6"/>
  <c r="F18" i="6"/>
  <c r="G18" i="6"/>
  <c r="M18" i="6"/>
  <c r="F19" i="6"/>
  <c r="G19" i="6"/>
  <c r="M19" i="6"/>
  <c r="F20" i="6"/>
  <c r="G20" i="6"/>
  <c r="M20" i="6"/>
  <c r="G21" i="6"/>
  <c r="D16" i="6"/>
  <c r="E16" i="6"/>
  <c r="D17" i="6"/>
  <c r="E17" i="6"/>
  <c r="D18" i="6"/>
  <c r="E18" i="6"/>
  <c r="D19" i="6"/>
  <c r="E19" i="6"/>
  <c r="D20" i="6"/>
  <c r="E20" i="6"/>
  <c r="D21" i="6"/>
  <c r="E21" i="6"/>
  <c r="E15" i="6"/>
  <c r="D15" i="6"/>
  <c r="E14" i="6"/>
  <c r="D14" i="6"/>
  <c r="K8" i="6"/>
  <c r="G11" i="6"/>
  <c r="F8" i="9"/>
  <c r="G8" i="9"/>
  <c r="H8" i="9"/>
  <c r="F9" i="9"/>
  <c r="G9" i="9"/>
  <c r="H9" i="9"/>
  <c r="F10" i="9"/>
  <c r="G10" i="9"/>
  <c r="H10" i="9"/>
  <c r="F11" i="9"/>
  <c r="G11" i="9"/>
  <c r="H11" i="9"/>
  <c r="F12" i="9"/>
  <c r="G12" i="9"/>
  <c r="H12" i="9"/>
  <c r="F13" i="9"/>
  <c r="G13" i="9"/>
  <c r="H13" i="9"/>
  <c r="F14" i="9"/>
  <c r="F21" i="6" s="1"/>
  <c r="G14" i="9"/>
  <c r="H14" i="9"/>
  <c r="M21" i="6" s="1"/>
  <c r="H7" i="9"/>
  <c r="M14" i="6" s="1"/>
  <c r="G7" i="9"/>
  <c r="G14" i="6" s="1"/>
  <c r="F7" i="9"/>
  <c r="F14" i="6" s="1"/>
  <c r="R11" i="3"/>
  <c r="M11" i="6" s="1"/>
  <c r="R10" i="3"/>
  <c r="M10" i="6" s="1"/>
  <c r="R9" i="3"/>
  <c r="M9" i="6" s="1"/>
  <c r="R8" i="3"/>
  <c r="M8" i="6" s="1"/>
  <c r="M8" i="3"/>
  <c r="H8" i="6" s="1"/>
  <c r="O8" i="3"/>
  <c r="J8" i="6" s="1"/>
  <c r="P8" i="3"/>
  <c r="Q8" i="3"/>
  <c r="L8" i="6" s="1"/>
  <c r="M9" i="3"/>
  <c r="H9" i="6" s="1"/>
  <c r="O9" i="3"/>
  <c r="J9" i="6" s="1"/>
  <c r="P9" i="3"/>
  <c r="K9" i="6" s="1"/>
  <c r="Q9" i="3"/>
  <c r="L9" i="6" s="1"/>
  <c r="M10" i="3"/>
  <c r="H10" i="6" s="1"/>
  <c r="O10" i="3"/>
  <c r="J10" i="6" s="1"/>
  <c r="P10" i="3"/>
  <c r="K10" i="6" s="1"/>
  <c r="Q10" i="3"/>
  <c r="L10" i="6" s="1"/>
  <c r="M11" i="3"/>
  <c r="H11" i="6" s="1"/>
  <c r="O11" i="3"/>
  <c r="J11" i="6" s="1"/>
  <c r="P11" i="3"/>
  <c r="K11" i="6" s="1"/>
  <c r="Q11" i="3"/>
  <c r="L11" i="6" s="1"/>
  <c r="Q7" i="3"/>
  <c r="L7" i="6" s="1"/>
  <c r="P7" i="3"/>
  <c r="K7" i="6" s="1"/>
  <c r="O7" i="3"/>
  <c r="M7" i="3"/>
  <c r="H7" i="6" s="1"/>
  <c r="H6" i="8"/>
  <c r="F6" i="8"/>
  <c r="F23" i="8" s="1"/>
  <c r="E6" i="8"/>
  <c r="E23" i="8" s="1"/>
  <c r="G6" i="8"/>
  <c r="G5" i="8"/>
  <c r="L11" i="3"/>
  <c r="L22" i="6" l="1"/>
  <c r="H22" i="6"/>
  <c r="K22" i="6"/>
  <c r="P13" i="3"/>
  <c r="O13" i="3"/>
  <c r="Q13" i="3"/>
  <c r="M22" i="6"/>
  <c r="J7" i="6"/>
  <c r="J22" i="6" s="1"/>
  <c r="H16" i="9"/>
  <c r="G16" i="9"/>
  <c r="F16" i="9"/>
  <c r="R13" i="3"/>
  <c r="M13" i="3"/>
  <c r="H23" i="8"/>
  <c r="E8" i="6" l="1"/>
  <c r="D9" i="6" s="1"/>
  <c r="E7" i="6"/>
  <c r="D8" i="6" s="1"/>
  <c r="L8" i="3"/>
  <c r="G8" i="6" s="1"/>
  <c r="L9" i="3"/>
  <c r="G9" i="6" s="1"/>
  <c r="L10" i="3"/>
  <c r="G10" i="6" s="1"/>
  <c r="L7" i="3"/>
  <c r="K8" i="3"/>
  <c r="F8" i="6" s="1"/>
  <c r="K9" i="3"/>
  <c r="F9" i="6" s="1"/>
  <c r="K10" i="3"/>
  <c r="F10" i="6" s="1"/>
  <c r="K11" i="3"/>
  <c r="F11" i="6" s="1"/>
  <c r="F7" i="6" l="1"/>
  <c r="F22" i="6" s="1"/>
  <c r="K13" i="3"/>
  <c r="G7" i="6"/>
  <c r="G22" i="6" s="1"/>
  <c r="L13" i="3"/>
  <c r="E10" i="6"/>
  <c r="D11" i="6" s="1"/>
  <c r="E11" i="6"/>
  <c r="E9" i="6"/>
  <c r="D10" i="6" s="1"/>
  <c r="D7" i="6"/>
  <c r="B9" i="4" l="1"/>
  <c r="G9" i="4" s="1"/>
  <c r="B10" i="4"/>
  <c r="B13" i="4"/>
  <c r="B5" i="4"/>
  <c r="B3" i="4"/>
  <c r="B6" i="4"/>
  <c r="B8" i="4" s="1"/>
  <c r="G8" i="4" s="1"/>
  <c r="B4" i="4"/>
  <c r="B2" i="4" l="1"/>
  <c r="G3" i="4"/>
  <c r="G10" i="4"/>
  <c r="B12" i="4"/>
</calcChain>
</file>

<file path=xl/sharedStrings.xml><?xml version="1.0" encoding="utf-8"?>
<sst xmlns="http://schemas.openxmlformats.org/spreadsheetml/2006/main" count="123" uniqueCount="64">
  <si>
    <t>EXCAVATION</t>
  </si>
  <si>
    <t>EMBANKMENT</t>
  </si>
  <si>
    <t>SEEDING AND MULCHING</t>
  </si>
  <si>
    <t>CY</t>
  </si>
  <si>
    <t xml:space="preserve"> </t>
  </si>
  <si>
    <t>TOTALS CARRIED TO GENERAL SUMMARY</t>
  </si>
  <si>
    <t>TO</t>
  </si>
  <si>
    <t>FROM</t>
  </si>
  <si>
    <t>STATION</t>
  </si>
  <si>
    <t>SQ YD</t>
  </si>
  <si>
    <t>SOIL ANALYSIS TEST</t>
  </si>
  <si>
    <t>EACH</t>
  </si>
  <si>
    <t>2 MIN</t>
  </si>
  <si>
    <t>TOPSOIL</t>
  </si>
  <si>
    <t>CU YD</t>
  </si>
  <si>
    <t>REPAIR SEEDING AND MULCHING</t>
  </si>
  <si>
    <t>INTER-SEEDING</t>
  </si>
  <si>
    <t>COMMERCIAL FERTILIZER</t>
  </si>
  <si>
    <t>TON</t>
  </si>
  <si>
    <t>FOR INTERSEEDING</t>
  </si>
  <si>
    <t>TOTAL</t>
  </si>
  <si>
    <t>LIME</t>
  </si>
  <si>
    <t>ACRE</t>
  </si>
  <si>
    <t>WATER</t>
  </si>
  <si>
    <t>MGAL</t>
  </si>
  <si>
    <t>MOWING</t>
  </si>
  <si>
    <t>M SQ FT</t>
  </si>
  <si>
    <t>SY</t>
  </si>
  <si>
    <t>SF</t>
  </si>
  <si>
    <t>EARTHWORK AND SEEDING TABLE</t>
  </si>
  <si>
    <t>CALCULATIONS</t>
  </si>
  <si>
    <t>sta</t>
  </si>
  <si>
    <t>com fert =</t>
  </si>
  <si>
    <t xml:space="preserve">lime = </t>
  </si>
  <si>
    <t xml:space="preserve">water = </t>
  </si>
  <si>
    <t>BEL-147-24.65</t>
  </si>
  <si>
    <t>BEL-147-25.87</t>
  </si>
  <si>
    <t>FT</t>
  </si>
  <si>
    <t>SEEDING AND MULCHING (ROUGH ESTIMATE)</t>
  </si>
  <si>
    <t>topsoil =</t>
  </si>
  <si>
    <t>EXCAVATION
temp pvmnt</t>
  </si>
  <si>
    <t>EMBANKMENT
temp pvmnt</t>
  </si>
  <si>
    <t>-</t>
  </si>
  <si>
    <t>304
AGGREGATE BASE</t>
  </si>
  <si>
    <t>601
DUMPED ROCK FILL
TYPE B</t>
  </si>
  <si>
    <t>601
DUMPED ROCK FILL
TYPE C</t>
  </si>
  <si>
    <t>EXCAVATION
VOLUME</t>
  </si>
  <si>
    <t>EMBANKMENT
VOLUME</t>
  </si>
  <si>
    <t>204
GRANULAR EMBANKMENT
VOLUME</t>
  </si>
  <si>
    <t>304
AGGREGATE BASE
VOLUME</t>
  </si>
  <si>
    <t>601
DUMPED ROCK FILL
TYPE B
VOLUME</t>
  </si>
  <si>
    <t>601
DUMPED ROCK FILL
TYPE C
VOLUME</t>
  </si>
  <si>
    <t>TOTALS</t>
  </si>
  <si>
    <t>659
SEEDING
&amp;
MULCHING</t>
  </si>
  <si>
    <t>659
SEEDING
&amp;
MULCHING
VOLUME</t>
  </si>
  <si>
    <t>LF</t>
  </si>
  <si>
    <t>AGGREGATE BASE</t>
  </si>
  <si>
    <t>DUMPED ROCK FILL
TYPE B</t>
  </si>
  <si>
    <t>DUMPED ROCK FILL
TYPE C</t>
  </si>
  <si>
    <t>204
GRANULAR EMBANKMENT, AS PER PLAN</t>
  </si>
  <si>
    <t>GRANULAR
EMBANKMENT, AS PER PLAN</t>
  </si>
  <si>
    <t>204
GEOTEXTILE FABRIC</t>
  </si>
  <si>
    <t xml:space="preserve">204
GEOTEXTILE FABRIC
</t>
  </si>
  <si>
    <t>GEOTEXTILE FABRIC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</si>
</sst>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+##.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Verdana"/>
      <family val="2"/>
    </font>
    <font>
      <sz val="12"/>
      <color theme="1"/>
      <name val="Verdana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15" xfId="0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0" xfId="0" applyNumberFormat="1"/>
    <xf numFmtId="0" fontId="1" fillId="0" borderId="30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/>
    <xf numFmtId="164" fontId="0" fillId="0" borderId="30" xfId="0" applyNumberFormat="1" applyBorder="1"/>
    <xf numFmtId="0" fontId="0" fillId="0" borderId="8" xfId="0" applyBorder="1"/>
    <xf numFmtId="14" fontId="0" fillId="0" borderId="0" xfId="0" applyNumberFormat="1"/>
    <xf numFmtId="164" fontId="0" fillId="0" borderId="3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0" xfId="0" applyBorder="1"/>
    <xf numFmtId="0" fontId="0" fillId="0" borderId="9" xfId="0" applyBorder="1"/>
    <xf numFmtId="0" fontId="1" fillId="0" borderId="31" xfId="0" applyFont="1" applyBorder="1" applyAlignment="1">
      <alignment horizontal="center" vertical="center"/>
    </xf>
    <xf numFmtId="0" fontId="0" fillId="0" borderId="31" xfId="0" applyBorder="1"/>
    <xf numFmtId="0" fontId="0" fillId="0" borderId="33" xfId="0" applyBorder="1"/>
    <xf numFmtId="0" fontId="1" fillId="0" borderId="3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textRotation="90"/>
    </xf>
    <xf numFmtId="0" fontId="5" fillId="0" borderId="1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textRotation="90" wrapText="1"/>
    </xf>
    <xf numFmtId="164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5" fillId="0" borderId="37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759F7-3BFD-42DA-B1B8-DB5AF310EE42}">
  <sheetPr>
    <pageSetUpPr fitToPage="1"/>
  </sheetPr>
  <dimension ref="D1:M22"/>
  <sheetViews>
    <sheetView tabSelected="1" zoomScale="80" zoomScaleNormal="80" workbookViewId="0">
      <selection activeCell="F32" sqref="F32"/>
    </sheetView>
  </sheetViews>
  <sheetFormatPr defaultRowHeight="15" x14ac:dyDescent="0.25"/>
  <cols>
    <col min="1" max="1" width="9.5703125" bestFit="1" customWidth="1"/>
    <col min="2" max="3" width="9.5703125" customWidth="1"/>
    <col min="4" max="5" width="27.7109375" customWidth="1"/>
    <col min="6" max="13" width="10.85546875" customWidth="1"/>
  </cols>
  <sheetData>
    <row r="1" spans="4:13" ht="15.75" thickBot="1" x14ac:dyDescent="0.3"/>
    <row r="2" spans="4:13" x14ac:dyDescent="0.25">
      <c r="D2" s="85" t="s">
        <v>29</v>
      </c>
      <c r="E2" s="86"/>
      <c r="F2" s="86"/>
      <c r="G2" s="86"/>
      <c r="H2" s="86"/>
      <c r="I2" s="86"/>
      <c r="J2" s="86"/>
      <c r="K2" s="86"/>
      <c r="L2" s="86"/>
      <c r="M2" s="87"/>
    </row>
    <row r="3" spans="4:13" x14ac:dyDescent="0.25">
      <c r="D3" s="88" t="s">
        <v>8</v>
      </c>
      <c r="E3" s="89"/>
      <c r="F3" s="96">
        <v>203</v>
      </c>
      <c r="G3" s="97"/>
      <c r="H3" s="96">
        <v>204</v>
      </c>
      <c r="I3" s="97"/>
      <c r="J3" s="55">
        <v>304</v>
      </c>
      <c r="K3" s="96">
        <v>601</v>
      </c>
      <c r="L3" s="97"/>
      <c r="M3" s="75">
        <v>659</v>
      </c>
    </row>
    <row r="4" spans="4:13" ht="128.25" x14ac:dyDescent="0.25">
      <c r="D4" s="88"/>
      <c r="E4" s="89"/>
      <c r="F4" s="73" t="s">
        <v>0</v>
      </c>
      <c r="G4" s="73" t="s">
        <v>1</v>
      </c>
      <c r="H4" s="74" t="s">
        <v>60</v>
      </c>
      <c r="I4" s="74" t="s">
        <v>63</v>
      </c>
      <c r="J4" s="73" t="s">
        <v>56</v>
      </c>
      <c r="K4" s="74" t="s">
        <v>57</v>
      </c>
      <c r="L4" s="74" t="s">
        <v>58</v>
      </c>
      <c r="M4" s="76" t="s">
        <v>2</v>
      </c>
    </row>
    <row r="5" spans="4:13" ht="18.75" thickBot="1" x14ac:dyDescent="0.3">
      <c r="D5" s="83" t="s">
        <v>7</v>
      </c>
      <c r="E5" s="84" t="s">
        <v>6</v>
      </c>
      <c r="F5" s="79" t="s">
        <v>3</v>
      </c>
      <c r="G5" s="79" t="s">
        <v>3</v>
      </c>
      <c r="H5" s="79" t="s">
        <v>3</v>
      </c>
      <c r="I5" s="79" t="s">
        <v>27</v>
      </c>
      <c r="J5" s="79" t="s">
        <v>3</v>
      </c>
      <c r="K5" s="79" t="s">
        <v>3</v>
      </c>
      <c r="L5" s="79" t="s">
        <v>3</v>
      </c>
      <c r="M5" s="80" t="s">
        <v>27</v>
      </c>
    </row>
    <row r="6" spans="4:13" x14ac:dyDescent="0.25">
      <c r="D6" s="92" t="s">
        <v>35</v>
      </c>
      <c r="E6" s="93"/>
      <c r="F6" s="81"/>
      <c r="G6" s="81"/>
      <c r="H6" s="81"/>
      <c r="I6" s="81"/>
      <c r="J6" s="81"/>
      <c r="K6" s="81"/>
      <c r="L6" s="81"/>
      <c r="M6" s="82"/>
    </row>
    <row r="7" spans="4:13" x14ac:dyDescent="0.25">
      <c r="D7" s="77">
        <f>'24.65 Mainline CUT FILL S&amp;M'!B6</f>
        <v>130150</v>
      </c>
      <c r="E7" s="56">
        <f>'24.65 Mainline CUT FILL S&amp;M'!B7</f>
        <v>130175</v>
      </c>
      <c r="F7" s="57">
        <f>'24.65 Mainline CUT FILL S&amp;M'!K7</f>
        <v>56</v>
      </c>
      <c r="G7" s="57">
        <f>'24.65 Mainline CUT FILL S&amp;M'!L7</f>
        <v>0</v>
      </c>
      <c r="H7" s="57">
        <f>'24.65 Mainline CUT FILL S&amp;M'!M7</f>
        <v>10</v>
      </c>
      <c r="I7" s="57">
        <f>'24.65 Mainline CUT FILL S&amp;M'!N7</f>
        <v>66</v>
      </c>
      <c r="J7" s="57">
        <f>'24.65 Mainline CUT FILL S&amp;M'!O7</f>
        <v>19</v>
      </c>
      <c r="K7" s="57">
        <f>'24.65 Mainline CUT FILL S&amp;M'!P7</f>
        <v>18</v>
      </c>
      <c r="L7" s="57">
        <f>'24.65 Mainline CUT FILL S&amp;M'!Q7</f>
        <v>19</v>
      </c>
      <c r="M7" s="78">
        <f>'24.65 Mainline CUT FILL S&amp;M'!R7</f>
        <v>12</v>
      </c>
    </row>
    <row r="8" spans="4:13" x14ac:dyDescent="0.25">
      <c r="D8" s="77">
        <f>E7</f>
        <v>130175</v>
      </c>
      <c r="E8" s="56">
        <f>'24.65 Mainline CUT FILL S&amp;M'!B8</f>
        <v>130200</v>
      </c>
      <c r="F8" s="57">
        <f>'24.65 Mainline CUT FILL S&amp;M'!K8</f>
        <v>111</v>
      </c>
      <c r="G8" s="57">
        <f>'24.65 Mainline CUT FILL S&amp;M'!L8</f>
        <v>0</v>
      </c>
      <c r="H8" s="57">
        <f>'24.65 Mainline CUT FILL S&amp;M'!M8</f>
        <v>19</v>
      </c>
      <c r="I8" s="57">
        <f>'24.65 Mainline CUT FILL S&amp;M'!N8</f>
        <v>131</v>
      </c>
      <c r="J8" s="57">
        <f>'24.65 Mainline CUT FILL S&amp;M'!O8</f>
        <v>36</v>
      </c>
      <c r="K8" s="57">
        <f>'24.65 Mainline CUT FILL S&amp;M'!P8</f>
        <v>39</v>
      </c>
      <c r="L8" s="57">
        <f>'24.65 Mainline CUT FILL S&amp;M'!Q8</f>
        <v>36</v>
      </c>
      <c r="M8" s="78">
        <f>'24.65 Mainline CUT FILL S&amp;M'!R8</f>
        <v>12</v>
      </c>
    </row>
    <row r="9" spans="4:13" x14ac:dyDescent="0.25">
      <c r="D9" s="77">
        <f>E8</f>
        <v>130200</v>
      </c>
      <c r="E9" s="56">
        <f>'24.65 Mainline CUT FILL S&amp;M'!B9</f>
        <v>130225</v>
      </c>
      <c r="F9" s="57">
        <f>'24.65 Mainline CUT FILL S&amp;M'!K9</f>
        <v>117</v>
      </c>
      <c r="G9" s="57">
        <f>'24.65 Mainline CUT FILL S&amp;M'!L9</f>
        <v>0</v>
      </c>
      <c r="H9" s="57">
        <f>'24.65 Mainline CUT FILL S&amp;M'!M9</f>
        <v>19</v>
      </c>
      <c r="I9" s="57">
        <f>'24.65 Mainline CUT FILL S&amp;M'!N9</f>
        <v>132</v>
      </c>
      <c r="J9" s="57">
        <f>'24.65 Mainline CUT FILL S&amp;M'!O9</f>
        <v>34</v>
      </c>
      <c r="K9" s="57">
        <f>'24.65 Mainline CUT FILL S&amp;M'!P9</f>
        <v>49</v>
      </c>
      <c r="L9" s="57">
        <f>'24.65 Mainline CUT FILL S&amp;M'!Q9</f>
        <v>35</v>
      </c>
      <c r="M9" s="78">
        <f>'24.65 Mainline CUT FILL S&amp;M'!R9</f>
        <v>12</v>
      </c>
    </row>
    <row r="10" spans="4:13" x14ac:dyDescent="0.25">
      <c r="D10" s="77">
        <f t="shared" ref="D10:D11" si="0">E9</f>
        <v>130225</v>
      </c>
      <c r="E10" s="56">
        <f>'24.65 Mainline CUT FILL S&amp;M'!B10</f>
        <v>130250</v>
      </c>
      <c r="F10" s="57">
        <f>'24.65 Mainline CUT FILL S&amp;M'!K10</f>
        <v>125</v>
      </c>
      <c r="G10" s="57">
        <f>'24.65 Mainline CUT FILL S&amp;M'!L10</f>
        <v>0</v>
      </c>
      <c r="H10" s="57">
        <f>'24.65 Mainline CUT FILL S&amp;M'!M10</f>
        <v>18</v>
      </c>
      <c r="I10" s="57">
        <f>'24.65 Mainline CUT FILL S&amp;M'!N10</f>
        <v>135</v>
      </c>
      <c r="J10" s="57">
        <f>'24.65 Mainline CUT FILL S&amp;M'!O10</f>
        <v>28</v>
      </c>
      <c r="K10" s="57">
        <f>'24.65 Mainline CUT FILL S&amp;M'!P10</f>
        <v>77</v>
      </c>
      <c r="L10" s="57">
        <f>'24.65 Mainline CUT FILL S&amp;M'!Q10</f>
        <v>31</v>
      </c>
      <c r="M10" s="78">
        <f>'24.65 Mainline CUT FILL S&amp;M'!R10</f>
        <v>12</v>
      </c>
    </row>
    <row r="11" spans="4:13" x14ac:dyDescent="0.25">
      <c r="D11" s="77">
        <f t="shared" si="0"/>
        <v>130250</v>
      </c>
      <c r="E11" s="56">
        <f>'24.65 Mainline CUT FILL S&amp;M'!B11</f>
        <v>130275</v>
      </c>
      <c r="F11" s="57">
        <f>'24.65 Mainline CUT FILL S&amp;M'!K11</f>
        <v>65</v>
      </c>
      <c r="G11" s="57">
        <f>'24.65 Mainline CUT FILL S&amp;M'!L11</f>
        <v>0</v>
      </c>
      <c r="H11" s="57">
        <f>'24.65 Mainline CUT FILL S&amp;M'!M11</f>
        <v>9</v>
      </c>
      <c r="I11" s="57">
        <f>'24.65 Mainline CUT FILL S&amp;M'!N11</f>
        <v>69</v>
      </c>
      <c r="J11" s="57">
        <f>'24.65 Mainline CUT FILL S&amp;M'!O11</f>
        <v>12</v>
      </c>
      <c r="K11" s="57">
        <f>'24.65 Mainline CUT FILL S&amp;M'!P11</f>
        <v>50</v>
      </c>
      <c r="L11" s="57">
        <f>'24.65 Mainline CUT FILL S&amp;M'!Q11</f>
        <v>14</v>
      </c>
      <c r="M11" s="78">
        <f>'24.65 Mainline CUT FILL S&amp;M'!R11</f>
        <v>12</v>
      </c>
    </row>
    <row r="12" spans="4:13" x14ac:dyDescent="0.25">
      <c r="D12" s="77"/>
      <c r="E12" s="56"/>
      <c r="F12" s="57"/>
      <c r="G12" s="57"/>
      <c r="H12" s="57"/>
      <c r="I12" s="57"/>
      <c r="J12" s="57"/>
      <c r="K12" s="57"/>
      <c r="L12" s="57"/>
      <c r="M12" s="78"/>
    </row>
    <row r="13" spans="4:13" x14ac:dyDescent="0.25">
      <c r="D13" s="94" t="s">
        <v>36</v>
      </c>
      <c r="E13" s="95"/>
      <c r="F13" s="57"/>
      <c r="G13" s="57"/>
      <c r="H13" s="57"/>
      <c r="I13" s="57"/>
      <c r="J13" s="57"/>
      <c r="K13" s="57"/>
      <c r="L13" s="57"/>
      <c r="M13" s="78"/>
    </row>
    <row r="14" spans="4:13" x14ac:dyDescent="0.25">
      <c r="D14" s="77">
        <f>'25.87 Mainline CUT FILL S&amp;M'!B6</f>
        <v>136560</v>
      </c>
      <c r="E14" s="56">
        <f>'25.87 Mainline CUT FILL S&amp;M'!B7</f>
        <v>136575</v>
      </c>
      <c r="F14" s="57">
        <f>'25.87 Mainline CUT FILL S&amp;M'!F7</f>
        <v>5</v>
      </c>
      <c r="G14" s="57">
        <f>'25.87 Mainline CUT FILL S&amp;M'!G7</f>
        <v>3</v>
      </c>
      <c r="H14" s="57"/>
      <c r="I14" s="57"/>
      <c r="J14" s="57"/>
      <c r="K14" s="57"/>
      <c r="L14" s="57"/>
      <c r="M14" s="78">
        <f>'25.87 Mainline CUT FILL S&amp;M'!H7</f>
        <v>13</v>
      </c>
    </row>
    <row r="15" spans="4:13" x14ac:dyDescent="0.25">
      <c r="D15" s="77">
        <f>'25.87 Mainline CUT FILL S&amp;M'!B7</f>
        <v>136575</v>
      </c>
      <c r="E15" s="56">
        <f>'25.87 Mainline CUT FILL S&amp;M'!B8</f>
        <v>136600</v>
      </c>
      <c r="F15" s="57">
        <f>'25.87 Mainline CUT FILL S&amp;M'!F8</f>
        <v>8</v>
      </c>
      <c r="G15" s="57">
        <f>'25.87 Mainline CUT FILL S&amp;M'!G8</f>
        <v>7</v>
      </c>
      <c r="H15" s="57"/>
      <c r="I15" s="57"/>
      <c r="J15" s="57"/>
      <c r="K15" s="57"/>
      <c r="L15" s="57"/>
      <c r="M15" s="78">
        <f>'25.87 Mainline CUT FILL S&amp;M'!H8</f>
        <v>21</v>
      </c>
    </row>
    <row r="16" spans="4:13" x14ac:dyDescent="0.25">
      <c r="D16" s="77">
        <f>'25.87 Mainline CUT FILL S&amp;M'!B8</f>
        <v>136600</v>
      </c>
      <c r="E16" s="56">
        <f>'25.87 Mainline CUT FILL S&amp;M'!B9</f>
        <v>136650</v>
      </c>
      <c r="F16" s="57">
        <f>'25.87 Mainline CUT FILL S&amp;M'!F9</f>
        <v>7</v>
      </c>
      <c r="G16" s="57">
        <f>'25.87 Mainline CUT FILL S&amp;M'!G9</f>
        <v>10</v>
      </c>
      <c r="H16" s="57"/>
      <c r="I16" s="57"/>
      <c r="J16" s="57"/>
      <c r="K16" s="57"/>
      <c r="L16" s="57"/>
      <c r="M16" s="78">
        <f>'25.87 Mainline CUT FILL S&amp;M'!H9</f>
        <v>23</v>
      </c>
    </row>
    <row r="17" spans="4:13" x14ac:dyDescent="0.25">
      <c r="D17" s="77">
        <f>'25.87 Mainline CUT FILL S&amp;M'!B9</f>
        <v>136650</v>
      </c>
      <c r="E17" s="56">
        <f>'25.87 Mainline CUT FILL S&amp;M'!B10</f>
        <v>136700</v>
      </c>
      <c r="F17" s="57">
        <f>'25.87 Mainline CUT FILL S&amp;M'!F10</f>
        <v>5</v>
      </c>
      <c r="G17" s="57">
        <f>'25.87 Mainline CUT FILL S&amp;M'!G10</f>
        <v>9</v>
      </c>
      <c r="H17" s="57"/>
      <c r="I17" s="57"/>
      <c r="J17" s="57"/>
      <c r="K17" s="57"/>
      <c r="L17" s="57"/>
      <c r="M17" s="78">
        <f>'25.87 Mainline CUT FILL S&amp;M'!H10</f>
        <v>23</v>
      </c>
    </row>
    <row r="18" spans="4:13" x14ac:dyDescent="0.25">
      <c r="D18" s="77">
        <f>'25.87 Mainline CUT FILL S&amp;M'!B10</f>
        <v>136700</v>
      </c>
      <c r="E18" s="56">
        <f>'25.87 Mainline CUT FILL S&amp;M'!B11</f>
        <v>136750</v>
      </c>
      <c r="F18" s="57">
        <f>'25.87 Mainline CUT FILL S&amp;M'!F11</f>
        <v>4</v>
      </c>
      <c r="G18" s="57">
        <f>'25.87 Mainline CUT FILL S&amp;M'!G11</f>
        <v>9</v>
      </c>
      <c r="H18" s="57"/>
      <c r="I18" s="57"/>
      <c r="J18" s="57"/>
      <c r="K18" s="57"/>
      <c r="L18" s="57"/>
      <c r="M18" s="78">
        <f>'25.87 Mainline CUT FILL S&amp;M'!H11</f>
        <v>23</v>
      </c>
    </row>
    <row r="19" spans="4:13" x14ac:dyDescent="0.25">
      <c r="D19" s="77">
        <f>'25.87 Mainline CUT FILL S&amp;M'!B11</f>
        <v>136750</v>
      </c>
      <c r="E19" s="56">
        <f>'25.87 Mainline CUT FILL S&amp;M'!B12</f>
        <v>136800</v>
      </c>
      <c r="F19" s="57">
        <f>'25.87 Mainline CUT FILL S&amp;M'!F12</f>
        <v>2</v>
      </c>
      <c r="G19" s="57">
        <f>'25.87 Mainline CUT FILL S&amp;M'!G12</f>
        <v>13</v>
      </c>
      <c r="H19" s="57"/>
      <c r="I19" s="57"/>
      <c r="J19" s="57"/>
      <c r="K19" s="57"/>
      <c r="L19" s="57"/>
      <c r="M19" s="78">
        <f>'25.87 Mainline CUT FILL S&amp;M'!H12</f>
        <v>23</v>
      </c>
    </row>
    <row r="20" spans="4:13" x14ac:dyDescent="0.25">
      <c r="D20" s="77">
        <f>'25.87 Mainline CUT FILL S&amp;M'!B12</f>
        <v>136800</v>
      </c>
      <c r="E20" s="56">
        <f>'25.87 Mainline CUT FILL S&amp;M'!B13</f>
        <v>136850</v>
      </c>
      <c r="F20" s="57">
        <f>'25.87 Mainline CUT FILL S&amp;M'!F13</f>
        <v>4</v>
      </c>
      <c r="G20" s="57">
        <f>'25.87 Mainline CUT FILL S&amp;M'!G13</f>
        <v>12</v>
      </c>
      <c r="H20" s="57"/>
      <c r="I20" s="57"/>
      <c r="J20" s="57"/>
      <c r="K20" s="57"/>
      <c r="L20" s="57"/>
      <c r="M20" s="78">
        <f>'25.87 Mainline CUT FILL S&amp;M'!H13</f>
        <v>23</v>
      </c>
    </row>
    <row r="21" spans="4:13" x14ac:dyDescent="0.25">
      <c r="D21" s="77">
        <f>'25.87 Mainline CUT FILL S&amp;M'!B13</f>
        <v>136850</v>
      </c>
      <c r="E21" s="56">
        <f>'25.87 Mainline CUT FILL S&amp;M'!B14</f>
        <v>136870</v>
      </c>
      <c r="F21" s="57">
        <f>'25.87 Mainline CUT FILL S&amp;M'!F14</f>
        <v>3</v>
      </c>
      <c r="G21" s="57">
        <f>'25.87 Mainline CUT FILL S&amp;M'!G14</f>
        <v>2</v>
      </c>
      <c r="H21" s="57"/>
      <c r="I21" s="57"/>
      <c r="J21" s="57"/>
      <c r="K21" s="57"/>
      <c r="L21" s="57"/>
      <c r="M21" s="78">
        <f>'25.87 Mainline CUT FILL S&amp;M'!H14</f>
        <v>9</v>
      </c>
    </row>
    <row r="22" spans="4:13" ht="24.95" customHeight="1" thickBot="1" x14ac:dyDescent="0.3">
      <c r="D22" s="90" t="s">
        <v>5</v>
      </c>
      <c r="E22" s="91"/>
      <c r="F22" s="79">
        <f>SUM(F7:F21)</f>
        <v>512</v>
      </c>
      <c r="G22" s="79">
        <f t="shared" ref="G22:M22" si="1">SUM(G7:G21)</f>
        <v>65</v>
      </c>
      <c r="H22" s="79">
        <f t="shared" si="1"/>
        <v>75</v>
      </c>
      <c r="I22" s="79">
        <f t="shared" si="1"/>
        <v>533</v>
      </c>
      <c r="J22" s="79">
        <f t="shared" si="1"/>
        <v>129</v>
      </c>
      <c r="K22" s="79">
        <f t="shared" si="1"/>
        <v>233</v>
      </c>
      <c r="L22" s="79">
        <f t="shared" si="1"/>
        <v>135</v>
      </c>
      <c r="M22" s="80">
        <f t="shared" si="1"/>
        <v>218</v>
      </c>
    </row>
  </sheetData>
  <mergeCells count="8">
    <mergeCell ref="D2:M2"/>
    <mergeCell ref="D3:E4"/>
    <mergeCell ref="D22:E22"/>
    <mergeCell ref="D6:E6"/>
    <mergeCell ref="D13:E13"/>
    <mergeCell ref="K3:L3"/>
    <mergeCell ref="F3:G3"/>
    <mergeCell ref="H3:I3"/>
  </mergeCells>
  <pageMargins left="0.7" right="0.7" top="0.75" bottom="0.75" header="0.3" footer="0.3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H20"/>
  <sheetViews>
    <sheetView zoomScale="60" zoomScaleNormal="60" workbookViewId="0">
      <selection activeCell="G3" sqref="G3:J3"/>
    </sheetView>
  </sheetViews>
  <sheetFormatPr defaultRowHeight="15" x14ac:dyDescent="0.25"/>
  <cols>
    <col min="1" max="1" width="18.85546875" bestFit="1" customWidth="1"/>
    <col min="2" max="2" width="13.140625" style="27" bestFit="1" customWidth="1"/>
    <col min="3" max="10" width="22" customWidth="1"/>
    <col min="11" max="11" width="22.7109375" bestFit="1" customWidth="1"/>
    <col min="12" max="12" width="24" bestFit="1" customWidth="1"/>
    <col min="13" max="18" width="22" customWidth="1"/>
    <col min="19" max="20" width="9.5703125" customWidth="1"/>
  </cols>
  <sheetData>
    <row r="2" spans="1:398" x14ac:dyDescent="0.25">
      <c r="B2" s="98" t="s">
        <v>30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1:398" ht="132" customHeight="1" x14ac:dyDescent="0.25">
      <c r="B3" s="59" t="s">
        <v>8</v>
      </c>
      <c r="C3" s="60" t="s">
        <v>0</v>
      </c>
      <c r="D3" s="60" t="s">
        <v>1</v>
      </c>
      <c r="E3" s="60" t="s">
        <v>59</v>
      </c>
      <c r="F3" s="60" t="s">
        <v>61</v>
      </c>
      <c r="G3" s="60" t="s">
        <v>43</v>
      </c>
      <c r="H3" s="60" t="s">
        <v>44</v>
      </c>
      <c r="I3" s="60" t="s">
        <v>45</v>
      </c>
      <c r="J3" s="60" t="s">
        <v>53</v>
      </c>
      <c r="K3" s="60" t="s">
        <v>46</v>
      </c>
      <c r="L3" s="60" t="s">
        <v>47</v>
      </c>
      <c r="M3" s="60" t="s">
        <v>48</v>
      </c>
      <c r="N3" s="60" t="s">
        <v>62</v>
      </c>
      <c r="O3" s="60" t="s">
        <v>49</v>
      </c>
      <c r="P3" s="60" t="s">
        <v>50</v>
      </c>
      <c r="Q3" s="60" t="s">
        <v>51</v>
      </c>
      <c r="R3" s="60" t="s">
        <v>54</v>
      </c>
      <c r="S3" s="28"/>
      <c r="T3" s="28"/>
    </row>
    <row r="4" spans="1:398" ht="12.75" customHeight="1" x14ac:dyDescent="0.25">
      <c r="B4" s="64"/>
      <c r="C4" s="61" t="s">
        <v>28</v>
      </c>
      <c r="D4" s="61" t="s">
        <v>28</v>
      </c>
      <c r="E4" s="61" t="s">
        <v>28</v>
      </c>
      <c r="F4" s="61" t="s">
        <v>37</v>
      </c>
      <c r="G4" s="61" t="s">
        <v>28</v>
      </c>
      <c r="H4" s="61" t="s">
        <v>28</v>
      </c>
      <c r="I4" s="61" t="s">
        <v>28</v>
      </c>
      <c r="J4" s="61" t="s">
        <v>55</v>
      </c>
      <c r="K4" s="61" t="s">
        <v>3</v>
      </c>
      <c r="L4" s="61" t="s">
        <v>3</v>
      </c>
      <c r="M4" s="61" t="s">
        <v>3</v>
      </c>
      <c r="N4" s="61" t="s">
        <v>27</v>
      </c>
      <c r="O4" s="61" t="s">
        <v>3</v>
      </c>
      <c r="P4" s="61" t="s">
        <v>3</v>
      </c>
      <c r="Q4" s="61" t="s">
        <v>3</v>
      </c>
      <c r="R4" s="61" t="s">
        <v>27</v>
      </c>
      <c r="S4" s="28"/>
      <c r="T4" s="28"/>
    </row>
    <row r="5" spans="1:398" ht="12.75" customHeight="1" x14ac:dyDescent="0.25">
      <c r="B5" s="64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28"/>
      <c r="T5" s="28"/>
    </row>
    <row r="6" spans="1:398" x14ac:dyDescent="0.25">
      <c r="B6" s="62">
        <v>130150</v>
      </c>
      <c r="C6" s="52">
        <v>1.8309</v>
      </c>
      <c r="D6" s="52"/>
      <c r="E6" s="52"/>
      <c r="F6" s="52">
        <v>0</v>
      </c>
      <c r="G6" s="52"/>
      <c r="H6" s="52"/>
      <c r="I6" s="52"/>
      <c r="J6" s="52">
        <v>4</v>
      </c>
      <c r="K6" s="63"/>
      <c r="L6" s="63"/>
      <c r="M6" s="52"/>
      <c r="N6" s="52"/>
      <c r="O6" s="52"/>
      <c r="P6" s="52"/>
      <c r="Q6" s="52"/>
      <c r="R6" s="52"/>
    </row>
    <row r="7" spans="1:398" x14ac:dyDescent="0.25">
      <c r="B7" s="62">
        <v>130175</v>
      </c>
      <c r="C7" s="52">
        <v>118.5155</v>
      </c>
      <c r="D7" s="52"/>
      <c r="E7" s="52">
        <v>19.9802</v>
      </c>
      <c r="F7" s="52">
        <v>46.818899999999999</v>
      </c>
      <c r="G7" s="52">
        <v>38.937100000000001</v>
      </c>
      <c r="H7" s="52">
        <v>37.793900000000001</v>
      </c>
      <c r="I7" s="52">
        <v>39.235700000000001</v>
      </c>
      <c r="J7" s="52">
        <v>4</v>
      </c>
      <c r="K7" s="63">
        <f>ROUNDUP(($B7-$B6)*((C7+C6)/2)*1/27,0)</f>
        <v>56</v>
      </c>
      <c r="L7" s="63">
        <f>ROUNDUP(($B7-$B6)*((D7+D6)/2)*1/27,0)</f>
        <v>0</v>
      </c>
      <c r="M7" s="63">
        <f>ROUNDUP(($B7-$B6)*((E7+E6)/2)*1/27,0)</f>
        <v>10</v>
      </c>
      <c r="N7" s="63">
        <f>ROUNDUP(($B7-$B6)*((F7+F6)/2)*1/9,0)</f>
        <v>66</v>
      </c>
      <c r="O7" s="63">
        <f>ROUNDUP(($B7-$B6)*((G7+G6)/2)*1/27,0)</f>
        <v>19</v>
      </c>
      <c r="P7" s="63">
        <f>ROUNDUP(($B7-$B6)*((H7+H6)/2)*1/27,0)</f>
        <v>18</v>
      </c>
      <c r="Q7" s="63">
        <f>ROUNDUP(($B7-$B6)*((I7+I6)/2)*1/27,0)</f>
        <v>19</v>
      </c>
      <c r="R7" s="63">
        <f>ROUNDUP(($B7-$B6)*((J7+J6)/2)*1/9,0)</f>
        <v>12</v>
      </c>
    </row>
    <row r="8" spans="1:398" x14ac:dyDescent="0.25">
      <c r="B8" s="62">
        <v>130200</v>
      </c>
      <c r="C8" s="52">
        <v>120.1682</v>
      </c>
      <c r="D8" s="52"/>
      <c r="E8" s="52">
        <v>19.7241</v>
      </c>
      <c r="F8" s="52">
        <v>47.127099999999999</v>
      </c>
      <c r="G8" s="52">
        <v>37.922699999999999</v>
      </c>
      <c r="H8" s="52">
        <v>45.013599999999997</v>
      </c>
      <c r="I8" s="52">
        <v>38.486199999999997</v>
      </c>
      <c r="J8" s="52">
        <v>4</v>
      </c>
      <c r="K8" s="63">
        <f t="shared" ref="K8:L11" si="0">ROUNDUP(($B8-$B7)*((C8+C7)/2)*1/27,0)</f>
        <v>111</v>
      </c>
      <c r="L8" s="63">
        <f t="shared" si="0"/>
        <v>0</v>
      </c>
      <c r="M8" s="63">
        <f t="shared" ref="M8:M11" si="1">ROUNDUP(($B8-$B7)*((E8+E7)/2)*1/27,0)</f>
        <v>19</v>
      </c>
      <c r="N8" s="63">
        <f>ROUNDUP(($B8-$B7)*((F8+F7)/2)*1/9,0)</f>
        <v>131</v>
      </c>
      <c r="O8" s="63">
        <f t="shared" ref="O8:O11" si="2">ROUNDUP(($B8-$B7)*((G8+G7)/2)*1/27,0)</f>
        <v>36</v>
      </c>
      <c r="P8" s="63">
        <f t="shared" ref="P8:P11" si="3">ROUNDUP(($B8-$B7)*((H8+H7)/2)*1/27,0)</f>
        <v>39</v>
      </c>
      <c r="Q8" s="63">
        <f t="shared" ref="Q8:Q11" si="4">ROUNDUP(($B8-$B7)*((I8+I7)/2)*1/27,0)</f>
        <v>36</v>
      </c>
      <c r="R8" s="63">
        <f t="shared" ref="R8:R11" si="5">ROUNDUP(($B8-$B7)*((J8+J7)/2)*1/9,0)</f>
        <v>12</v>
      </c>
    </row>
    <row r="9" spans="1:398" x14ac:dyDescent="0.25">
      <c r="B9" s="62">
        <v>130225</v>
      </c>
      <c r="C9" s="52">
        <v>131.76480000000001</v>
      </c>
      <c r="D9" s="52"/>
      <c r="E9" s="52">
        <v>19.5337</v>
      </c>
      <c r="F9" s="52">
        <v>47.486499999999999</v>
      </c>
      <c r="G9" s="52">
        <v>34.215800000000002</v>
      </c>
      <c r="H9" s="52">
        <v>58.870199999999997</v>
      </c>
      <c r="I9" s="52">
        <v>36.213999999999999</v>
      </c>
      <c r="J9" s="52">
        <v>4</v>
      </c>
      <c r="K9" s="63">
        <f t="shared" si="0"/>
        <v>117</v>
      </c>
      <c r="L9" s="63">
        <f t="shared" si="0"/>
        <v>0</v>
      </c>
      <c r="M9" s="63">
        <f t="shared" si="1"/>
        <v>19</v>
      </c>
      <c r="N9" s="63">
        <f t="shared" ref="N9:N11" si="6">ROUNDUP(($B9-$B8)*((F9+F8)/2)*1/9,0)</f>
        <v>132</v>
      </c>
      <c r="O9" s="63">
        <f t="shared" si="2"/>
        <v>34</v>
      </c>
      <c r="P9" s="63">
        <f t="shared" si="3"/>
        <v>49</v>
      </c>
      <c r="Q9" s="63">
        <f t="shared" si="4"/>
        <v>35</v>
      </c>
      <c r="R9" s="63">
        <f t="shared" si="5"/>
        <v>12</v>
      </c>
    </row>
    <row r="10" spans="1:398" s="36" customFormat="1" ht="15.75" thickBot="1" x14ac:dyDescent="0.3">
      <c r="A10"/>
      <c r="B10" s="62">
        <v>130250</v>
      </c>
      <c r="C10" s="52">
        <v>137.4213</v>
      </c>
      <c r="D10" s="52"/>
      <c r="E10" s="52">
        <v>17.7166</v>
      </c>
      <c r="F10" s="52">
        <v>49.077599999999997</v>
      </c>
      <c r="G10" s="52">
        <v>24.3203</v>
      </c>
      <c r="H10" s="52">
        <v>107.1606</v>
      </c>
      <c r="I10" s="52">
        <v>28.9833</v>
      </c>
      <c r="J10" s="52">
        <v>4</v>
      </c>
      <c r="K10" s="63">
        <f t="shared" si="0"/>
        <v>125</v>
      </c>
      <c r="L10" s="63">
        <f t="shared" si="0"/>
        <v>0</v>
      </c>
      <c r="M10" s="63">
        <f t="shared" si="1"/>
        <v>18</v>
      </c>
      <c r="N10" s="63">
        <f>ROUNDUP(($B10-$B9)*((F10+F9)/2)*1/9,0)</f>
        <v>135</v>
      </c>
      <c r="O10" s="63">
        <f t="shared" si="2"/>
        <v>28</v>
      </c>
      <c r="P10" s="63">
        <f t="shared" si="3"/>
        <v>77</v>
      </c>
      <c r="Q10" s="63">
        <f t="shared" si="4"/>
        <v>31</v>
      </c>
      <c r="R10" s="63">
        <f t="shared" si="5"/>
        <v>12</v>
      </c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</row>
    <row r="11" spans="1:398" x14ac:dyDescent="0.25">
      <c r="B11" s="62">
        <v>130275</v>
      </c>
      <c r="C11" s="52">
        <v>1.7786</v>
      </c>
      <c r="D11" s="52"/>
      <c r="E11" s="52"/>
      <c r="F11" s="52"/>
      <c r="G11" s="52"/>
      <c r="H11" s="52"/>
      <c r="I11" s="52"/>
      <c r="J11" s="52">
        <v>4</v>
      </c>
      <c r="K11" s="63">
        <f t="shared" si="0"/>
        <v>65</v>
      </c>
      <c r="L11" s="63">
        <f t="shared" si="0"/>
        <v>0</v>
      </c>
      <c r="M11" s="63">
        <f t="shared" si="1"/>
        <v>9</v>
      </c>
      <c r="N11" s="63">
        <f t="shared" si="6"/>
        <v>69</v>
      </c>
      <c r="O11" s="63">
        <f t="shared" si="2"/>
        <v>12</v>
      </c>
      <c r="P11" s="63">
        <f t="shared" si="3"/>
        <v>50</v>
      </c>
      <c r="Q11" s="63">
        <f t="shared" si="4"/>
        <v>14</v>
      </c>
      <c r="R11" s="63">
        <f t="shared" si="5"/>
        <v>12</v>
      </c>
    </row>
    <row r="12" spans="1:398" x14ac:dyDescent="0.25">
      <c r="B12" s="62"/>
      <c r="C12" s="52"/>
      <c r="D12" s="52"/>
      <c r="E12" s="52"/>
      <c r="F12" s="52"/>
      <c r="G12" s="52"/>
      <c r="H12" s="52"/>
      <c r="I12" s="52"/>
      <c r="J12" s="52"/>
      <c r="K12" s="63"/>
      <c r="L12" s="63"/>
      <c r="M12" s="52"/>
      <c r="N12" s="52"/>
      <c r="O12" s="52"/>
      <c r="P12" s="52"/>
      <c r="Q12" s="52"/>
      <c r="R12" s="52"/>
    </row>
    <row r="13" spans="1:398" x14ac:dyDescent="0.25">
      <c r="B13" s="65"/>
      <c r="C13" s="66"/>
      <c r="D13" s="66"/>
      <c r="E13" s="66"/>
      <c r="F13" s="66"/>
      <c r="G13" s="66"/>
      <c r="H13" s="66"/>
      <c r="I13" s="68"/>
      <c r="J13" s="67" t="s">
        <v>52</v>
      </c>
      <c r="K13" s="61">
        <f>SUM(K7:K12)</f>
        <v>474</v>
      </c>
      <c r="L13" s="61">
        <f t="shared" ref="L13:Q13" si="7">SUM(L7:L12)</f>
        <v>0</v>
      </c>
      <c r="M13" s="61">
        <f t="shared" si="7"/>
        <v>75</v>
      </c>
      <c r="N13" s="61"/>
      <c r="O13" s="61">
        <f t="shared" si="7"/>
        <v>129</v>
      </c>
      <c r="P13" s="61">
        <f t="shared" si="7"/>
        <v>233</v>
      </c>
      <c r="Q13" s="61">
        <f t="shared" si="7"/>
        <v>135</v>
      </c>
      <c r="R13" s="61">
        <f t="shared" ref="R13" si="8">SUM(R7:R12)</f>
        <v>60</v>
      </c>
    </row>
    <row r="14" spans="1:398" x14ac:dyDescent="0.25">
      <c r="B14" s="65"/>
      <c r="C14" s="66"/>
      <c r="D14" s="66"/>
      <c r="E14" s="66"/>
      <c r="F14" s="66"/>
      <c r="G14" s="66"/>
      <c r="H14" s="66"/>
      <c r="I14" s="66"/>
      <c r="J14" s="66"/>
      <c r="K14" s="58"/>
      <c r="L14" s="58"/>
      <c r="M14" s="66"/>
      <c r="N14" s="66"/>
      <c r="O14" s="66"/>
      <c r="P14" s="66"/>
      <c r="Q14" s="66"/>
      <c r="R14" s="66"/>
    </row>
    <row r="15" spans="1:398" x14ac:dyDescent="0.25">
      <c r="B15" s="65"/>
      <c r="C15" s="66"/>
      <c r="D15" s="66"/>
      <c r="E15" s="66"/>
      <c r="F15" s="66"/>
      <c r="G15" s="66"/>
      <c r="H15" s="66"/>
      <c r="I15" s="66"/>
      <c r="J15" s="66"/>
      <c r="K15" s="58"/>
      <c r="L15" s="58"/>
      <c r="M15" s="66"/>
      <c r="N15" s="66"/>
      <c r="O15" s="66"/>
      <c r="P15" s="66"/>
      <c r="Q15" s="66"/>
      <c r="R15" s="66"/>
    </row>
    <row r="16" spans="1:398" x14ac:dyDescent="0.25">
      <c r="B16" s="65"/>
      <c r="C16" s="66"/>
      <c r="D16" s="66"/>
      <c r="E16" s="66"/>
      <c r="F16" s="66"/>
      <c r="G16" s="66"/>
      <c r="H16" s="66"/>
      <c r="I16" s="66"/>
      <c r="J16" s="66"/>
      <c r="K16" s="58"/>
      <c r="L16" s="58"/>
      <c r="M16" s="66"/>
      <c r="N16" s="66"/>
      <c r="O16" s="66"/>
      <c r="P16" s="66"/>
      <c r="Q16" s="66"/>
      <c r="R16" s="66"/>
    </row>
    <row r="17" spans="2:18" x14ac:dyDescent="0.25">
      <c r="B17" s="65"/>
      <c r="C17" s="66"/>
      <c r="D17" s="66"/>
      <c r="E17" s="66"/>
      <c r="F17" s="66"/>
      <c r="G17" s="66"/>
      <c r="H17" s="66"/>
      <c r="I17" s="66"/>
      <c r="J17" s="66"/>
      <c r="K17" s="58"/>
      <c r="L17" s="58"/>
      <c r="M17" s="66"/>
      <c r="N17" s="66"/>
      <c r="O17" s="66"/>
      <c r="P17" s="66"/>
      <c r="Q17" s="66"/>
      <c r="R17" s="66"/>
    </row>
    <row r="18" spans="2:18" x14ac:dyDescent="0.25">
      <c r="B18" s="65"/>
      <c r="C18" s="66"/>
      <c r="D18" s="66"/>
      <c r="E18" s="66"/>
      <c r="F18" s="66"/>
      <c r="G18" s="66"/>
      <c r="H18" s="66"/>
      <c r="I18" s="66"/>
      <c r="J18" s="66"/>
      <c r="K18" s="58"/>
      <c r="L18" s="58"/>
      <c r="M18" s="66"/>
      <c r="N18" s="66"/>
      <c r="O18" s="66"/>
      <c r="P18" s="66"/>
      <c r="Q18" s="66"/>
      <c r="R18" s="66"/>
    </row>
    <row r="19" spans="2:18" x14ac:dyDescent="0.25">
      <c r="B19" s="65"/>
      <c r="C19" s="66"/>
      <c r="D19" s="66"/>
      <c r="E19" s="66"/>
      <c r="F19" s="66"/>
      <c r="G19" s="66"/>
      <c r="H19" s="66"/>
      <c r="I19" s="66"/>
      <c r="J19" s="66"/>
      <c r="K19" s="58"/>
      <c r="L19" s="58"/>
      <c r="M19" s="66"/>
      <c r="N19" s="66"/>
      <c r="O19" s="66"/>
      <c r="P19" s="66"/>
      <c r="Q19" s="66"/>
      <c r="R19" s="66"/>
    </row>
    <row r="20" spans="2:18" x14ac:dyDescent="0.25">
      <c r="B20"/>
    </row>
  </sheetData>
  <mergeCells count="1">
    <mergeCell ref="B2:R2"/>
  </mergeCells>
  <pageMargins left="0.7" right="0.7" top="0.75" bottom="0.75" header="0.3" footer="0.3"/>
  <pageSetup paperSize="17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7951-2A5F-40BD-865D-C3441CBA60C8}">
  <sheetPr>
    <pageSetUpPr fitToPage="1"/>
  </sheetPr>
  <dimension ref="A2:NX22"/>
  <sheetViews>
    <sheetView zoomScaleNormal="100" workbookViewId="0">
      <selection activeCell="E25" sqref="E25"/>
    </sheetView>
  </sheetViews>
  <sheetFormatPr defaultRowHeight="15" x14ac:dyDescent="0.25"/>
  <cols>
    <col min="1" max="1" width="18.85546875" bestFit="1" customWidth="1"/>
    <col min="2" max="2" width="13.140625" style="27" bestFit="1" customWidth="1"/>
    <col min="3" max="5" width="22" customWidth="1"/>
    <col min="6" max="6" width="22.7109375" bestFit="1" customWidth="1"/>
    <col min="7" max="7" width="24" bestFit="1" customWidth="1"/>
    <col min="8" max="8" width="22" customWidth="1"/>
    <col min="9" max="10" width="9.5703125" customWidth="1"/>
  </cols>
  <sheetData>
    <row r="2" spans="1:388" x14ac:dyDescent="0.25">
      <c r="B2" s="100" t="s">
        <v>30</v>
      </c>
      <c r="C2" s="100"/>
      <c r="D2" s="100"/>
      <c r="E2" s="100"/>
      <c r="F2" s="100"/>
      <c r="G2" s="100"/>
      <c r="H2" s="100"/>
    </row>
    <row r="3" spans="1:388" ht="132" customHeight="1" x14ac:dyDescent="0.25">
      <c r="B3" s="59" t="s">
        <v>8</v>
      </c>
      <c r="C3" s="60" t="s">
        <v>0</v>
      </c>
      <c r="D3" s="60" t="s">
        <v>1</v>
      </c>
      <c r="E3" s="60" t="s">
        <v>53</v>
      </c>
      <c r="F3" s="60" t="s">
        <v>46</v>
      </c>
      <c r="G3" s="60" t="s">
        <v>47</v>
      </c>
      <c r="H3" s="60" t="s">
        <v>54</v>
      </c>
      <c r="I3" s="28"/>
      <c r="J3" s="28"/>
    </row>
    <row r="4" spans="1:388" ht="12.75" customHeight="1" x14ac:dyDescent="0.25">
      <c r="B4" s="64"/>
      <c r="C4" s="61" t="s">
        <v>28</v>
      </c>
      <c r="D4" s="61" t="s">
        <v>28</v>
      </c>
      <c r="E4" s="61" t="s">
        <v>55</v>
      </c>
      <c r="F4" s="61" t="s">
        <v>3</v>
      </c>
      <c r="G4" s="61" t="s">
        <v>3</v>
      </c>
      <c r="H4" s="61" t="s">
        <v>27</v>
      </c>
      <c r="I4" s="28"/>
      <c r="J4" s="28"/>
    </row>
    <row r="5" spans="1:388" ht="12.75" customHeight="1" x14ac:dyDescent="0.25">
      <c r="B5" s="64"/>
      <c r="C5" s="61"/>
      <c r="D5" s="61"/>
      <c r="E5" s="61"/>
      <c r="F5" s="61"/>
      <c r="G5" s="61"/>
      <c r="H5" s="61"/>
      <c r="I5" s="28"/>
      <c r="J5" s="28"/>
    </row>
    <row r="6" spans="1:388" x14ac:dyDescent="0.25">
      <c r="B6" s="62">
        <v>136560</v>
      </c>
      <c r="C6" s="52">
        <v>2.952</v>
      </c>
      <c r="D6" s="52">
        <v>0</v>
      </c>
      <c r="E6" s="52">
        <v>4</v>
      </c>
      <c r="F6" s="63"/>
      <c r="G6" s="63"/>
      <c r="H6" s="52"/>
    </row>
    <row r="7" spans="1:388" x14ac:dyDescent="0.25">
      <c r="B7" s="62">
        <v>136575</v>
      </c>
      <c r="C7" s="52">
        <v>11.89</v>
      </c>
      <c r="D7" s="52">
        <v>10.55</v>
      </c>
      <c r="E7" s="52">
        <v>11</v>
      </c>
      <c r="F7" s="63">
        <f t="shared" ref="F7:G7" si="0">ROUNDUP(($B7-$B6)*((C7+C6)/2)*1/27,0)</f>
        <v>5</v>
      </c>
      <c r="G7" s="63">
        <f t="shared" si="0"/>
        <v>3</v>
      </c>
      <c r="H7" s="63">
        <f>ROUNDUP(($B7-$B6)*((E7+E6)/2)*1/9,0)</f>
        <v>13</v>
      </c>
    </row>
    <row r="8" spans="1:388" x14ac:dyDescent="0.25">
      <c r="B8" s="62">
        <v>136600</v>
      </c>
      <c r="C8" s="52">
        <v>4.9500999999999999</v>
      </c>
      <c r="D8" s="52">
        <v>4.3905000000000003</v>
      </c>
      <c r="E8" s="52">
        <v>4</v>
      </c>
      <c r="F8" s="63">
        <f t="shared" ref="F8:F14" si="1">ROUNDUP(($B8-$B7)*((C8+C7)/2)*1/27,0)</f>
        <v>8</v>
      </c>
      <c r="G8" s="63">
        <f t="shared" ref="G8:G14" si="2">ROUNDUP(($B8-$B7)*((D8+D7)/2)*1/27,0)</f>
        <v>7</v>
      </c>
      <c r="H8" s="63">
        <f t="shared" ref="H8:H14" si="3">ROUNDUP(($B8-$B7)*((E8+E7)/2)*1/9,0)</f>
        <v>21</v>
      </c>
    </row>
    <row r="9" spans="1:388" x14ac:dyDescent="0.25">
      <c r="B9" s="62">
        <v>136650</v>
      </c>
      <c r="C9" s="52">
        <v>1.97</v>
      </c>
      <c r="D9" s="52">
        <v>6.3228</v>
      </c>
      <c r="E9" s="52">
        <v>4</v>
      </c>
      <c r="F9" s="63">
        <f t="shared" si="1"/>
        <v>7</v>
      </c>
      <c r="G9" s="63">
        <f t="shared" si="2"/>
        <v>10</v>
      </c>
      <c r="H9" s="63">
        <f t="shared" si="3"/>
        <v>23</v>
      </c>
    </row>
    <row r="10" spans="1:388" s="36" customFormat="1" ht="15.75" thickBot="1" x14ac:dyDescent="0.3">
      <c r="A10"/>
      <c r="B10" s="62">
        <v>136700</v>
      </c>
      <c r="C10" s="52">
        <v>3.4</v>
      </c>
      <c r="D10" s="52">
        <v>3.1644000000000001</v>
      </c>
      <c r="E10" s="52">
        <v>4</v>
      </c>
      <c r="F10" s="63">
        <f t="shared" si="1"/>
        <v>5</v>
      </c>
      <c r="G10" s="63">
        <f t="shared" si="2"/>
        <v>9</v>
      </c>
      <c r="H10" s="63">
        <f t="shared" si="3"/>
        <v>23</v>
      </c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</row>
    <row r="11" spans="1:388" x14ac:dyDescent="0.25">
      <c r="B11" s="62">
        <v>136750</v>
      </c>
      <c r="C11" s="52">
        <v>0.76</v>
      </c>
      <c r="D11" s="52">
        <v>5.6177999999999999</v>
      </c>
      <c r="E11" s="52">
        <v>4</v>
      </c>
      <c r="F11" s="63">
        <f t="shared" si="1"/>
        <v>4</v>
      </c>
      <c r="G11" s="63">
        <f t="shared" si="2"/>
        <v>9</v>
      </c>
      <c r="H11" s="63">
        <f t="shared" si="3"/>
        <v>23</v>
      </c>
    </row>
    <row r="12" spans="1:388" x14ac:dyDescent="0.25">
      <c r="B12" s="62">
        <v>136800</v>
      </c>
      <c r="C12" s="52">
        <v>0.94</v>
      </c>
      <c r="D12" s="52">
        <v>7.7077999999999998</v>
      </c>
      <c r="E12" s="52">
        <v>4</v>
      </c>
      <c r="F12" s="63">
        <f t="shared" si="1"/>
        <v>2</v>
      </c>
      <c r="G12" s="63">
        <f t="shared" si="2"/>
        <v>13</v>
      </c>
      <c r="H12" s="63">
        <f t="shared" si="3"/>
        <v>23</v>
      </c>
    </row>
    <row r="13" spans="1:388" x14ac:dyDescent="0.25">
      <c r="B13" s="62">
        <v>136850</v>
      </c>
      <c r="C13" s="52">
        <v>2.9194</v>
      </c>
      <c r="D13" s="52">
        <v>4.5845000000000002</v>
      </c>
      <c r="E13" s="52">
        <v>4</v>
      </c>
      <c r="F13" s="63">
        <f t="shared" si="1"/>
        <v>4</v>
      </c>
      <c r="G13" s="63">
        <f t="shared" si="2"/>
        <v>12</v>
      </c>
      <c r="H13" s="63">
        <f t="shared" si="3"/>
        <v>23</v>
      </c>
    </row>
    <row r="14" spans="1:388" x14ac:dyDescent="0.25">
      <c r="B14" s="62">
        <v>136870</v>
      </c>
      <c r="C14" s="52">
        <v>2.9559000000000002</v>
      </c>
      <c r="D14" s="52">
        <v>0</v>
      </c>
      <c r="E14" s="52">
        <v>4</v>
      </c>
      <c r="F14" s="63">
        <f t="shared" si="1"/>
        <v>3</v>
      </c>
      <c r="G14" s="63">
        <f t="shared" si="2"/>
        <v>2</v>
      </c>
      <c r="H14" s="63">
        <f t="shared" si="3"/>
        <v>9</v>
      </c>
    </row>
    <row r="15" spans="1:388" x14ac:dyDescent="0.25">
      <c r="B15" s="62"/>
      <c r="C15" s="52"/>
      <c r="D15" s="52"/>
      <c r="E15" s="71"/>
      <c r="F15" s="72"/>
      <c r="G15" s="72"/>
      <c r="H15" s="71"/>
    </row>
    <row r="16" spans="1:388" x14ac:dyDescent="0.25">
      <c r="B16" s="65"/>
      <c r="C16" s="66"/>
      <c r="D16" s="66"/>
      <c r="E16" s="69" t="s">
        <v>52</v>
      </c>
      <c r="F16" s="70">
        <f>SUM(F7:F14)</f>
        <v>38</v>
      </c>
      <c r="G16" s="70">
        <f>SUM(G7:G14)</f>
        <v>65</v>
      </c>
      <c r="H16" s="70">
        <f>SUM(H7:H14)</f>
        <v>158</v>
      </c>
    </row>
    <row r="17" spans="2:8" x14ac:dyDescent="0.25">
      <c r="B17" s="65"/>
      <c r="C17" s="66"/>
      <c r="D17" s="66"/>
      <c r="E17" s="66"/>
      <c r="F17" s="58"/>
      <c r="G17" s="58"/>
      <c r="H17" s="66"/>
    </row>
    <row r="18" spans="2:8" x14ac:dyDescent="0.25">
      <c r="B18" s="65"/>
      <c r="C18" s="66"/>
      <c r="D18" s="66"/>
      <c r="E18" s="66"/>
      <c r="F18" s="58"/>
      <c r="G18" s="58"/>
      <c r="H18" s="66"/>
    </row>
    <row r="19" spans="2:8" x14ac:dyDescent="0.25">
      <c r="B19" s="65"/>
      <c r="C19" s="66"/>
      <c r="D19" s="66"/>
      <c r="E19" s="66"/>
      <c r="F19" s="58"/>
      <c r="G19" s="58"/>
      <c r="H19" s="66"/>
    </row>
    <row r="20" spans="2:8" x14ac:dyDescent="0.25">
      <c r="B20" s="65"/>
      <c r="C20" s="66"/>
      <c r="D20" s="66"/>
      <c r="E20" s="66"/>
      <c r="F20" s="58"/>
      <c r="G20" s="58"/>
      <c r="H20" s="66"/>
    </row>
    <row r="21" spans="2:8" x14ac:dyDescent="0.25">
      <c r="B21"/>
      <c r="E21" s="66"/>
      <c r="F21" s="58"/>
      <c r="G21" s="58"/>
      <c r="H21" s="66"/>
    </row>
    <row r="22" spans="2:8" x14ac:dyDescent="0.25">
      <c r="E22" s="66"/>
      <c r="F22" s="58"/>
      <c r="G22" s="58"/>
      <c r="H22" s="66"/>
    </row>
  </sheetData>
  <mergeCells count="1">
    <mergeCell ref="B2:H2"/>
  </mergeCells>
  <pageMargins left="0.7" right="0.7" top="0.75" bottom="0.75" header="0.3" footer="0.3"/>
  <pageSetup paperSize="17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F60F2-F530-402B-9F43-B5AF0C028E8E}">
  <dimension ref="A1:G13"/>
  <sheetViews>
    <sheetView workbookViewId="0">
      <selection activeCell="B2" sqref="B2"/>
    </sheetView>
  </sheetViews>
  <sheetFormatPr defaultRowHeight="15" x14ac:dyDescent="0.25"/>
  <cols>
    <col min="1" max="1" width="30.42578125" bestFit="1" customWidth="1"/>
    <col min="2" max="2" width="10.7109375" customWidth="1"/>
    <col min="6" max="6" width="11.28515625" customWidth="1"/>
  </cols>
  <sheetData>
    <row r="1" spans="1:7" ht="15.75" thickBot="1" x14ac:dyDescent="0.3">
      <c r="A1" s="1" t="s">
        <v>2</v>
      </c>
      <c r="B1" s="2">
        <f>'Sheet Reference'!M22+197</f>
        <v>415</v>
      </c>
      <c r="C1" s="3" t="s">
        <v>9</v>
      </c>
      <c r="D1" s="4"/>
    </row>
    <row r="2" spans="1:7" ht="16.5" thickTop="1" thickBot="1" x14ac:dyDescent="0.3">
      <c r="A2" s="5" t="s">
        <v>10</v>
      </c>
      <c r="B2" s="6">
        <f>(B3*1)/10000</f>
        <v>4.6064999999999995E-3</v>
      </c>
      <c r="C2" s="6" t="s">
        <v>11</v>
      </c>
      <c r="D2" s="7" t="s">
        <v>12</v>
      </c>
    </row>
    <row r="3" spans="1:7" ht="16.5" thickTop="1" thickBot="1" x14ac:dyDescent="0.3">
      <c r="A3" s="8" t="s">
        <v>13</v>
      </c>
      <c r="B3" s="9">
        <f>(B1*111)/1000</f>
        <v>46.064999999999998</v>
      </c>
      <c r="C3" s="9" t="s">
        <v>14</v>
      </c>
      <c r="D3" s="10"/>
      <c r="F3" t="s">
        <v>39</v>
      </c>
      <c r="G3">
        <f>ROUND(B3,0)</f>
        <v>46</v>
      </c>
    </row>
    <row r="4" spans="1:7" ht="15.75" thickBot="1" x14ac:dyDescent="0.3">
      <c r="A4" s="11" t="s">
        <v>15</v>
      </c>
      <c r="B4" s="12">
        <f>0.05*B1</f>
        <v>20.75</v>
      </c>
      <c r="C4" s="12" t="s">
        <v>9</v>
      </c>
      <c r="D4" s="13"/>
    </row>
    <row r="5" spans="1:7" ht="15.75" thickBot="1" x14ac:dyDescent="0.3">
      <c r="A5" s="11" t="s">
        <v>16</v>
      </c>
      <c r="B5" s="12">
        <f>0.05*B1</f>
        <v>20.75</v>
      </c>
      <c r="C5" s="12" t="s">
        <v>9</v>
      </c>
      <c r="D5" s="13"/>
    </row>
    <row r="6" spans="1:7" x14ac:dyDescent="0.25">
      <c r="A6" s="14" t="s">
        <v>17</v>
      </c>
      <c r="B6" s="15">
        <f>(1*B1)/7410</f>
        <v>5.600539811066127E-2</v>
      </c>
      <c r="C6" s="15" t="s">
        <v>18</v>
      </c>
      <c r="D6" s="16"/>
    </row>
    <row r="7" spans="1:7" x14ac:dyDescent="0.25">
      <c r="A7" s="17" t="s">
        <v>19</v>
      </c>
      <c r="B7" s="18"/>
      <c r="C7" s="18" t="s">
        <v>18</v>
      </c>
      <c r="D7" s="19"/>
      <c r="F7" s="20"/>
    </row>
    <row r="8" spans="1:7" ht="15.75" thickBot="1" x14ac:dyDescent="0.3">
      <c r="A8" s="21" t="s">
        <v>20</v>
      </c>
      <c r="B8" s="22">
        <f>ROUND(SUM(B6:B7),2)</f>
        <v>0.06</v>
      </c>
      <c r="C8" s="22" t="s">
        <v>18</v>
      </c>
      <c r="D8" s="23"/>
      <c r="F8" t="s">
        <v>32</v>
      </c>
      <c r="G8">
        <f>ROUNDUP(B8,2)</f>
        <v>0.06</v>
      </c>
    </row>
    <row r="9" spans="1:7" ht="15.75" thickBot="1" x14ac:dyDescent="0.3">
      <c r="A9" s="11" t="s">
        <v>21</v>
      </c>
      <c r="B9" s="12">
        <f>ROUND(B1/4840,2)</f>
        <v>0.09</v>
      </c>
      <c r="C9" s="12" t="s">
        <v>22</v>
      </c>
      <c r="D9" s="13"/>
      <c r="F9" t="s">
        <v>33</v>
      </c>
      <c r="G9">
        <f>ROUNDUP(B9,2)</f>
        <v>0.09</v>
      </c>
    </row>
    <row r="10" spans="1:7" x14ac:dyDescent="0.25">
      <c r="A10" s="14" t="s">
        <v>23</v>
      </c>
      <c r="B10" s="15">
        <f>2*((0.0027*B1)/1)</f>
        <v>2.2410000000000001</v>
      </c>
      <c r="C10" s="15" t="s">
        <v>24</v>
      </c>
      <c r="D10" s="16"/>
      <c r="F10" t="s">
        <v>34</v>
      </c>
      <c r="G10">
        <f>ROUNDUP(B10,0)</f>
        <v>3</v>
      </c>
    </row>
    <row r="11" spans="1:7" x14ac:dyDescent="0.25">
      <c r="A11" s="17" t="s">
        <v>19</v>
      </c>
      <c r="B11" s="18"/>
      <c r="C11" s="18" t="s">
        <v>24</v>
      </c>
      <c r="D11" s="19"/>
    </row>
    <row r="12" spans="1:7" ht="15.75" thickBot="1" x14ac:dyDescent="0.3">
      <c r="A12" s="21" t="s">
        <v>20</v>
      </c>
      <c r="B12" s="22">
        <f>ROUNDUP(SUM(B10:B11),0)</f>
        <v>3</v>
      </c>
      <c r="C12" s="22" t="s">
        <v>24</v>
      </c>
      <c r="D12" s="23"/>
    </row>
    <row r="13" spans="1:7" ht="15.75" thickBot="1" x14ac:dyDescent="0.3">
      <c r="A13" s="24" t="s">
        <v>25</v>
      </c>
      <c r="B13" s="25">
        <f>(((B1*9)*0.25)/1000)</f>
        <v>0.93374999999999997</v>
      </c>
      <c r="C13" s="25" t="s">
        <v>26</v>
      </c>
      <c r="D13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9C9EB-CC9E-4348-9147-873246EE5455}">
  <sheetPr>
    <pageSetUpPr fitToPage="1"/>
  </sheetPr>
  <dimension ref="A1:NY29"/>
  <sheetViews>
    <sheetView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29" sqref="D29"/>
    </sheetView>
  </sheetViews>
  <sheetFormatPr defaultRowHeight="15" x14ac:dyDescent="0.25"/>
  <cols>
    <col min="1" max="1" width="18.85546875" bestFit="1" customWidth="1"/>
    <col min="2" max="2" width="13.140625" style="27" bestFit="1" customWidth="1"/>
    <col min="3" max="4" width="22" customWidth="1"/>
    <col min="5" max="5" width="22.7109375" bestFit="1" customWidth="1"/>
    <col min="6" max="6" width="24" bestFit="1" customWidth="1"/>
    <col min="7" max="8" width="24.140625" customWidth="1"/>
    <col min="9" max="9" width="22.7109375" bestFit="1" customWidth="1"/>
    <col min="10" max="10" width="24" bestFit="1" customWidth="1"/>
    <col min="11" max="11" width="9.5703125" customWidth="1"/>
  </cols>
  <sheetData>
    <row r="1" spans="1:389" ht="15.75" thickBot="1" x14ac:dyDescent="0.3"/>
    <row r="2" spans="1:389" ht="15.75" thickBot="1" x14ac:dyDescent="0.3">
      <c r="B2" s="101" t="s">
        <v>30</v>
      </c>
      <c r="C2" s="102"/>
      <c r="D2" s="102"/>
      <c r="E2" s="102"/>
      <c r="F2" s="103"/>
      <c r="G2" s="53"/>
      <c r="H2" s="54"/>
      <c r="I2" s="104"/>
      <c r="J2" s="105"/>
    </row>
    <row r="3" spans="1:389" ht="132" customHeight="1" x14ac:dyDescent="0.25">
      <c r="B3" s="106" t="s">
        <v>31</v>
      </c>
      <c r="C3" s="29" t="s">
        <v>40</v>
      </c>
      <c r="D3" s="29" t="s">
        <v>41</v>
      </c>
      <c r="E3" s="29" t="s">
        <v>40</v>
      </c>
      <c r="F3" s="29" t="s">
        <v>41</v>
      </c>
      <c r="G3" s="29" t="s">
        <v>38</v>
      </c>
      <c r="H3" s="29" t="s">
        <v>38</v>
      </c>
      <c r="I3" s="29"/>
      <c r="J3" s="29"/>
      <c r="K3" s="28"/>
    </row>
    <row r="4" spans="1:389" ht="12.75" customHeight="1" thickBot="1" x14ac:dyDescent="0.3">
      <c r="B4" s="107"/>
      <c r="C4" s="30" t="s">
        <v>28</v>
      </c>
      <c r="D4" s="30" t="s">
        <v>28</v>
      </c>
      <c r="E4" s="30" t="s">
        <v>3</v>
      </c>
      <c r="F4" s="30" t="s">
        <v>3</v>
      </c>
      <c r="G4" s="30" t="s">
        <v>37</v>
      </c>
      <c r="H4" s="30" t="s">
        <v>27</v>
      </c>
      <c r="I4" s="30"/>
      <c r="J4" s="30"/>
      <c r="K4" s="28"/>
    </row>
    <row r="5" spans="1:389" x14ac:dyDescent="0.25">
      <c r="B5" s="31">
        <v>136600</v>
      </c>
      <c r="C5" s="51">
        <v>3.5</v>
      </c>
      <c r="D5" s="51">
        <v>2</v>
      </c>
      <c r="E5" s="41" t="s">
        <v>42</v>
      </c>
      <c r="F5" s="32" t="s">
        <v>42</v>
      </c>
      <c r="G5" s="41">
        <f>3+4</f>
        <v>7</v>
      </c>
      <c r="H5" s="32" t="s">
        <v>42</v>
      </c>
      <c r="I5" s="41"/>
      <c r="J5" s="32"/>
    </row>
    <row r="6" spans="1:389" x14ac:dyDescent="0.25">
      <c r="B6" s="40">
        <v>137000</v>
      </c>
      <c r="C6" s="52">
        <v>3.5</v>
      </c>
      <c r="D6" s="52">
        <v>2</v>
      </c>
      <c r="E6" s="42">
        <f>ROUND(($B$6-$B$5)*AVERAGE(C5:C6)*(1/27),0)</f>
        <v>52</v>
      </c>
      <c r="F6" s="34">
        <f>ROUND(($B$6-$B$5)*AVERAGE(D5:D6)*(1/27),0)</f>
        <v>30</v>
      </c>
      <c r="G6" s="42">
        <f>3+4</f>
        <v>7</v>
      </c>
      <c r="H6" s="34">
        <f>ROUND(($B$6-$B$5)*AVERAGE(G5:G6)*(1/9),0)</f>
        <v>311</v>
      </c>
      <c r="I6" s="42"/>
      <c r="J6" s="34"/>
    </row>
    <row r="7" spans="1:389" x14ac:dyDescent="0.25">
      <c r="B7" s="33"/>
      <c r="C7" s="52"/>
      <c r="D7" s="52"/>
      <c r="E7" s="42"/>
      <c r="F7" s="34"/>
      <c r="G7" s="42"/>
      <c r="H7" s="34"/>
      <c r="I7" s="42"/>
      <c r="J7" s="34"/>
    </row>
    <row r="8" spans="1:389" x14ac:dyDescent="0.25">
      <c r="B8" s="33"/>
      <c r="C8" s="52"/>
      <c r="D8" s="52"/>
      <c r="E8" s="42"/>
      <c r="F8" s="34"/>
      <c r="G8" s="42"/>
      <c r="H8" s="34"/>
      <c r="I8" s="43"/>
      <c r="J8" s="35"/>
    </row>
    <row r="9" spans="1:389" s="36" customFormat="1" ht="15.75" thickBot="1" x14ac:dyDescent="0.3">
      <c r="A9"/>
      <c r="B9" s="33"/>
      <c r="C9" s="52"/>
      <c r="D9" s="52"/>
      <c r="E9" s="42"/>
      <c r="F9" s="34"/>
      <c r="G9" s="42"/>
      <c r="H9" s="34"/>
      <c r="I9" s="43"/>
      <c r="J9" s="3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</row>
    <row r="10" spans="1:389" x14ac:dyDescent="0.25">
      <c r="B10" s="33"/>
      <c r="C10" s="52"/>
      <c r="D10" s="52"/>
      <c r="E10" s="42"/>
      <c r="F10" s="34"/>
      <c r="G10" s="42"/>
      <c r="H10" s="34"/>
      <c r="I10" s="43"/>
      <c r="J10" s="35"/>
    </row>
    <row r="11" spans="1:389" x14ac:dyDescent="0.25">
      <c r="B11" s="33"/>
      <c r="C11" s="52"/>
      <c r="D11" s="52"/>
      <c r="E11" s="42"/>
      <c r="F11" s="34"/>
      <c r="G11" s="42"/>
      <c r="H11" s="34"/>
      <c r="I11" s="43"/>
      <c r="J11" s="35"/>
    </row>
    <row r="12" spans="1:389" x14ac:dyDescent="0.25">
      <c r="B12" s="33"/>
      <c r="C12" s="52"/>
      <c r="D12" s="52"/>
      <c r="E12" s="42"/>
      <c r="F12" s="34"/>
      <c r="G12" s="42"/>
      <c r="H12" s="34"/>
      <c r="I12" s="43"/>
      <c r="J12" s="35"/>
    </row>
    <row r="13" spans="1:389" x14ac:dyDescent="0.25">
      <c r="B13" s="33"/>
      <c r="C13" s="52"/>
      <c r="D13" s="52"/>
      <c r="E13" s="42"/>
      <c r="F13" s="34"/>
      <c r="G13" s="42"/>
      <c r="H13" s="34"/>
      <c r="I13" s="43"/>
      <c r="J13" s="35"/>
    </row>
    <row r="14" spans="1:389" x14ac:dyDescent="0.25">
      <c r="B14" s="33"/>
      <c r="C14" s="52"/>
      <c r="D14" s="52"/>
      <c r="E14" s="42"/>
      <c r="F14" s="34"/>
      <c r="G14" s="42"/>
      <c r="H14" s="34"/>
      <c r="I14" s="43"/>
      <c r="J14" s="35"/>
    </row>
    <row r="15" spans="1:389" x14ac:dyDescent="0.25">
      <c r="B15" s="33"/>
      <c r="C15" s="52"/>
      <c r="D15" s="52"/>
      <c r="E15" s="42"/>
      <c r="F15" s="34"/>
      <c r="G15" s="42"/>
      <c r="H15" s="34"/>
      <c r="I15" s="43"/>
      <c r="J15" s="35"/>
    </row>
    <row r="16" spans="1:389" x14ac:dyDescent="0.25">
      <c r="B16" s="33"/>
      <c r="C16" s="52"/>
      <c r="D16" s="52"/>
      <c r="E16" s="42"/>
      <c r="F16" s="34"/>
      <c r="G16" s="42"/>
      <c r="H16" s="34"/>
      <c r="I16" s="43"/>
      <c r="J16" s="35"/>
    </row>
    <row r="17" spans="2:10" x14ac:dyDescent="0.25">
      <c r="B17" s="33"/>
      <c r="C17" s="52"/>
      <c r="D17" s="52"/>
      <c r="E17" s="42"/>
      <c r="F17" s="34"/>
      <c r="G17" s="42"/>
      <c r="H17" s="34"/>
      <c r="I17" s="43"/>
      <c r="J17" s="35"/>
    </row>
    <row r="18" spans="2:10" x14ac:dyDescent="0.25">
      <c r="B18" s="33"/>
      <c r="C18" s="52"/>
      <c r="D18" s="52"/>
      <c r="E18" s="42"/>
      <c r="F18" s="34"/>
      <c r="G18" s="42"/>
      <c r="H18" s="34"/>
      <c r="I18" s="43"/>
      <c r="J18" s="35"/>
    </row>
    <row r="19" spans="2:10" x14ac:dyDescent="0.25">
      <c r="B19" s="33"/>
      <c r="C19" s="52"/>
      <c r="D19" s="52"/>
      <c r="E19" s="42"/>
      <c r="F19" s="34"/>
      <c r="G19" s="42"/>
      <c r="H19" s="34"/>
      <c r="I19" s="43"/>
      <c r="J19" s="35"/>
    </row>
    <row r="20" spans="2:10" x14ac:dyDescent="0.25">
      <c r="B20" s="33"/>
      <c r="C20" s="52"/>
      <c r="D20" s="52"/>
      <c r="E20" s="42"/>
      <c r="F20" s="34"/>
      <c r="G20" s="42"/>
      <c r="H20" s="34"/>
      <c r="I20" s="43"/>
      <c r="J20" s="35"/>
    </row>
    <row r="21" spans="2:10" x14ac:dyDescent="0.25">
      <c r="B21" s="33"/>
      <c r="C21" s="52"/>
      <c r="D21" s="52"/>
      <c r="E21" s="43"/>
      <c r="F21" s="35"/>
      <c r="G21" s="43"/>
      <c r="H21" s="35"/>
      <c r="I21" s="43"/>
      <c r="J21" s="35"/>
    </row>
    <row r="22" spans="2:10" ht="15.75" customHeight="1" thickBot="1" x14ac:dyDescent="0.3">
      <c r="B22" s="37"/>
      <c r="C22" s="38"/>
      <c r="D22" s="38"/>
      <c r="E22" s="44"/>
      <c r="F22" s="45"/>
      <c r="G22" s="44"/>
      <c r="H22" s="45"/>
      <c r="I22" s="47"/>
      <c r="J22" s="48"/>
    </row>
    <row r="23" spans="2:10" ht="15.75" thickBot="1" x14ac:dyDescent="0.3">
      <c r="B23" s="101" t="s">
        <v>5</v>
      </c>
      <c r="C23" s="102"/>
      <c r="D23" s="102"/>
      <c r="E23" s="46">
        <f>SUM(E5:E22)</f>
        <v>52</v>
      </c>
      <c r="F23" s="50">
        <f t="shared" ref="F23" si="0">SUM(F5:F22)</f>
        <v>30</v>
      </c>
      <c r="G23" s="46"/>
      <c r="H23" s="50">
        <f>SUM(H5:H22)</f>
        <v>311</v>
      </c>
      <c r="I23" s="46"/>
      <c r="J23" s="49"/>
    </row>
    <row r="24" spans="2:10" x14ac:dyDescent="0.25">
      <c r="G24" t="s">
        <v>4</v>
      </c>
    </row>
    <row r="27" spans="2:10" x14ac:dyDescent="0.25">
      <c r="B27"/>
      <c r="D27" s="39"/>
    </row>
    <row r="28" spans="2:10" x14ac:dyDescent="0.25">
      <c r="B28"/>
      <c r="D28" s="39"/>
    </row>
    <row r="29" spans="2:10" x14ac:dyDescent="0.25">
      <c r="B29"/>
    </row>
  </sheetData>
  <mergeCells count="4">
    <mergeCell ref="B2:F2"/>
    <mergeCell ref="I2:J2"/>
    <mergeCell ref="B3:B4"/>
    <mergeCell ref="B23:D23"/>
  </mergeCells>
  <pageMargins left="0.7" right="0.7" top="0.75" bottom="0.75" header="0.3" footer="0.3"/>
  <pageSetup paperSize="17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Sheet Reference</vt:lpstr>
      <vt:lpstr>24.65 Mainline CUT FILL S&amp;M</vt:lpstr>
      <vt:lpstr>25.87 Mainline CUT FILL S&amp;M</vt:lpstr>
      <vt:lpstr>Seeding calcs</vt:lpstr>
      <vt:lpstr>temp pvmnt</vt:lpstr>
      <vt:lpstr>'24.65 Mainline CUT FILL S&amp;M'!Print_Area</vt:lpstr>
      <vt:lpstr>'25.87 Mainline CUT FILL S&amp;M'!Print_Area</vt:lpstr>
      <vt:lpstr>'temp pvmnt'!Print_Area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2025-02-19T15:38:51Z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